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2edbb9c8bab3d724/Documents/Retirement Book/Retirement Guide - New/"/>
    </mc:Choice>
  </mc:AlternateContent>
  <xr:revisionPtr revIDLastSave="145" documentId="11_F25DC773A252ABDACC1048C5515D48745ADE58EA" xr6:coauthVersionLast="47" xr6:coauthVersionMax="47" xr10:uidLastSave="{77100EFF-BCA5-45DB-93BB-F2F8BD20FB91}"/>
  <bookViews>
    <workbookView xWindow="2760" yWindow="510" windowWidth="21870" windowHeight="147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1" l="1"/>
  <c r="C95" i="1"/>
  <c r="C74" i="1"/>
  <c r="E56" i="1"/>
  <c r="C38" i="1"/>
  <c r="C55" i="1" s="1"/>
  <c r="D37" i="1"/>
  <c r="C35" i="1"/>
  <c r="F188" i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E177" i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K176" i="1"/>
  <c r="K177" i="1" s="1"/>
  <c r="K178" i="1" s="1"/>
  <c r="K179" i="1" s="1"/>
  <c r="K180" i="1" s="1"/>
  <c r="K181" i="1" s="1"/>
  <c r="K182" i="1" s="1"/>
  <c r="K183" i="1" s="1"/>
  <c r="K184" i="1" s="1"/>
  <c r="K185" i="1" s="1"/>
  <c r="G176" i="1"/>
  <c r="I176" i="1" s="1"/>
  <c r="D176" i="1"/>
  <c r="I153" i="1"/>
  <c r="D153" i="1"/>
  <c r="I151" i="1"/>
  <c r="H151" i="1" s="1"/>
  <c r="D151" i="1"/>
  <c r="C151" i="1" s="1"/>
  <c r="H144" i="1"/>
  <c r="C144" i="1"/>
  <c r="D134" i="1"/>
  <c r="D136" i="1" s="1"/>
  <c r="D8" i="1" s="1"/>
  <c r="M132" i="1"/>
  <c r="D131" i="1"/>
  <c r="D130" i="1"/>
  <c r="D129" i="1"/>
  <c r="D128" i="1"/>
  <c r="D127" i="1"/>
  <c r="C114" i="1"/>
  <c r="C84" i="1"/>
  <c r="D76" i="1"/>
  <c r="C76" i="1"/>
  <c r="C50" i="1"/>
  <c r="B7" i="1"/>
  <c r="B6" i="1"/>
  <c r="D28" i="1"/>
  <c r="B5" i="1"/>
  <c r="D27" i="1"/>
  <c r="B4" i="1"/>
  <c r="D26" i="1"/>
  <c r="H148" i="1" l="1"/>
  <c r="H153" i="1" s="1"/>
  <c r="H158" i="1" s="1"/>
  <c r="C86" i="1"/>
  <c r="D90" i="1" s="1"/>
  <c r="D96" i="1" s="1"/>
  <c r="M134" i="1"/>
  <c r="D29" i="1"/>
  <c r="E18" i="1" s="1"/>
  <c r="G18" i="1" s="1"/>
  <c r="C136" i="1"/>
  <c r="C8" i="1" s="1"/>
  <c r="C148" i="1"/>
  <c r="C153" i="1" s="1"/>
  <c r="C158" i="1" s="1"/>
  <c r="C9" i="1" s="1"/>
  <c r="G186" i="1"/>
  <c r="G187" i="1" s="1"/>
  <c r="G188" i="1" s="1"/>
  <c r="I188" i="1" s="1"/>
  <c r="D132" i="1"/>
  <c r="J176" i="1"/>
  <c r="H191" i="1"/>
  <c r="D177" i="1"/>
  <c r="D178" i="1" s="1"/>
  <c r="F176" i="1"/>
  <c r="D74" i="1"/>
  <c r="C132" i="1"/>
  <c r="H176" i="1"/>
  <c r="G17" i="1"/>
  <c r="C77" i="1"/>
  <c r="C78" i="1" s="1"/>
  <c r="E20" i="1" l="1"/>
  <c r="E23" i="1" s="1"/>
  <c r="C90" i="1"/>
  <c r="C96" i="1" s="1"/>
  <c r="D86" i="1"/>
  <c r="B90" i="1" s="1"/>
  <c r="H177" i="1"/>
  <c r="I186" i="1"/>
  <c r="I187" i="1"/>
  <c r="G20" i="1"/>
  <c r="G23" i="1" s="1"/>
  <c r="D77" i="1"/>
  <c r="D78" i="1" s="1"/>
  <c r="F177" i="1"/>
  <c r="F178" i="1" s="1"/>
  <c r="F179" i="1" s="1"/>
  <c r="F180" i="1" s="1"/>
  <c r="F181" i="1" s="1"/>
  <c r="F182" i="1" s="1"/>
  <c r="F183" i="1" s="1"/>
  <c r="F184" i="1" s="1"/>
  <c r="F185" i="1" s="1"/>
  <c r="H178" i="1"/>
  <c r="D179" i="1"/>
  <c r="J178" i="1"/>
  <c r="J177" i="1"/>
  <c r="I23" i="1" l="1"/>
  <c r="C44" i="1"/>
  <c r="C48" i="1" s="1"/>
  <c r="C52" i="1" s="1"/>
  <c r="C62" i="1"/>
  <c r="C49" i="1"/>
  <c r="D4" i="1" s="1"/>
  <c r="C47" i="1"/>
  <c r="C4" i="1" s="1"/>
  <c r="D180" i="1"/>
  <c r="J179" i="1"/>
  <c r="H179" i="1"/>
  <c r="F190" i="1"/>
  <c r="H192" i="1" l="1"/>
  <c r="J191" i="1"/>
  <c r="D181" i="1"/>
  <c r="J180" i="1"/>
  <c r="H180" i="1"/>
  <c r="G56" i="1"/>
  <c r="C56" i="1"/>
  <c r="C107" i="1"/>
  <c r="C111" i="1" s="1"/>
  <c r="C116" i="1" s="1"/>
  <c r="C121" i="1" s="1"/>
  <c r="C7" i="1" s="1"/>
  <c r="C93" i="1"/>
  <c r="C97" i="1" s="1"/>
  <c r="C66" i="1"/>
  <c r="D62" i="1"/>
  <c r="D66" i="1" s="1"/>
  <c r="D93" i="1"/>
  <c r="D97" i="1" s="1"/>
  <c r="D69" i="1" l="1"/>
  <c r="D70" i="1"/>
  <c r="D71" i="1"/>
  <c r="D5" i="1" s="1"/>
  <c r="D102" i="1"/>
  <c r="D6" i="1" s="1"/>
  <c r="D101" i="1"/>
  <c r="D100" i="1"/>
  <c r="C69" i="1"/>
  <c r="C5" i="1" s="1"/>
  <c r="C71" i="1"/>
  <c r="C70" i="1"/>
  <c r="C102" i="1"/>
  <c r="C101" i="1"/>
  <c r="C100" i="1"/>
  <c r="C6" i="1" s="1"/>
  <c r="H181" i="1"/>
  <c r="D182" i="1"/>
  <c r="J181" i="1"/>
  <c r="D183" i="1" l="1"/>
  <c r="J182" i="1"/>
  <c r="H182" i="1"/>
  <c r="D184" i="1" l="1"/>
  <c r="J183" i="1"/>
  <c r="H183" i="1"/>
  <c r="H184" i="1" l="1"/>
  <c r="J184" i="1"/>
  <c r="D185" i="1"/>
  <c r="D186" i="1" l="1"/>
  <c r="J185" i="1"/>
  <c r="H185" i="1"/>
  <c r="D187" i="1" l="1"/>
  <c r="H186" i="1"/>
  <c r="J186" i="1"/>
  <c r="D188" i="1" l="1"/>
  <c r="H187" i="1"/>
  <c r="J187" i="1"/>
  <c r="H188" i="1" l="1"/>
  <c r="H190" i="1" s="1"/>
  <c r="H193" i="1" s="1"/>
  <c r="J188" i="1"/>
  <c r="J190" i="1" s="1"/>
  <c r="J192" i="1" s="1"/>
</calcChain>
</file>

<file path=xl/sharedStrings.xml><?xml version="1.0" encoding="utf-8"?>
<sst xmlns="http://schemas.openxmlformats.org/spreadsheetml/2006/main" count="163" uniqueCount="136">
  <si>
    <t>Future</t>
  </si>
  <si>
    <t>Sale Value</t>
  </si>
  <si>
    <t>Todays Value</t>
  </si>
  <si>
    <t>Options</t>
  </si>
  <si>
    <t>Income range generated</t>
  </si>
  <si>
    <t>Revised estimated value of the property</t>
  </si>
  <si>
    <t>Realestate fees</t>
  </si>
  <si>
    <t>Less all costs incurred in the sale process</t>
  </si>
  <si>
    <t>Advertising</t>
  </si>
  <si>
    <t xml:space="preserve">Less any money owing on the house   (at sale time)                             </t>
  </si>
  <si>
    <t>Legal</t>
  </si>
  <si>
    <t>Equals the Value locked up within the property</t>
  </si>
  <si>
    <t>?</t>
  </si>
  <si>
    <t>Rent 1 or 2 rooms</t>
  </si>
  <si>
    <t>Build a Unit</t>
  </si>
  <si>
    <t>Text for under table 39</t>
  </si>
  <si>
    <t>New:</t>
  </si>
  <si>
    <t>Old:</t>
  </si>
  <si>
    <t>Diff:</t>
  </si>
  <si>
    <t>Option 1</t>
  </si>
  <si>
    <t>Sell and rent</t>
  </si>
  <si>
    <t>Value of House if sold</t>
  </si>
  <si>
    <t>Annual Income if invested at:</t>
  </si>
  <si>
    <t>Less Annual Rent</t>
  </si>
  <si>
    <t>per week</t>
  </si>
  <si>
    <t>Cash Available after renting</t>
  </si>
  <si>
    <t>at 6%</t>
  </si>
  <si>
    <t>Annual Costs of ownership</t>
  </si>
  <si>
    <t>includes loan servicing</t>
  </si>
  <si>
    <t>Comparative difference</t>
  </si>
  <si>
    <t>annual loss</t>
  </si>
  <si>
    <t>Option 2</t>
  </si>
  <si>
    <t>Downsize</t>
  </si>
  <si>
    <t>Value of Current House</t>
  </si>
  <si>
    <t>Est price of smaller place</t>
  </si>
  <si>
    <t>2br</t>
  </si>
  <si>
    <t>1br</t>
  </si>
  <si>
    <t>Difference</t>
  </si>
  <si>
    <t>Annual Passive Income if invested at:</t>
  </si>
  <si>
    <t>Current Costs (rates etc)</t>
  </si>
  <si>
    <t>Est. costs of new place</t>
  </si>
  <si>
    <t>Option 3</t>
  </si>
  <si>
    <t>Relocate</t>
  </si>
  <si>
    <t>Our House</t>
  </si>
  <si>
    <t>before cost of sale</t>
  </si>
  <si>
    <t xml:space="preserve">Median </t>
  </si>
  <si>
    <t>Our House (after costs)</t>
  </si>
  <si>
    <t>Equivalent in</t>
  </si>
  <si>
    <t>Nelson</t>
  </si>
  <si>
    <t>Hawkes Bay</t>
  </si>
  <si>
    <t>Difference in locations</t>
  </si>
  <si>
    <t>Option 4</t>
  </si>
  <si>
    <t>Upsize</t>
  </si>
  <si>
    <t>Proceeds from our house</t>
  </si>
  <si>
    <t>Cost of new property(s)</t>
  </si>
  <si>
    <t>2x 3br units</t>
  </si>
  <si>
    <t>New Mortgage required</t>
  </si>
  <si>
    <t>Potential Rent/yr (one unit)</t>
  </si>
  <si>
    <t>less additional costs/yr</t>
  </si>
  <si>
    <t xml:space="preserve">   mortgage</t>
  </si>
  <si>
    <t>yrs</t>
  </si>
  <si>
    <t xml:space="preserve">   rates</t>
  </si>
  <si>
    <t xml:space="preserve">   insurance</t>
  </si>
  <si>
    <t xml:space="preserve">   maintenance</t>
  </si>
  <si>
    <t>Actual Income generated</t>
  </si>
  <si>
    <t>per year (pre tax)</t>
  </si>
  <si>
    <t>Option 5</t>
  </si>
  <si>
    <t>AirBnB a room</t>
  </si>
  <si>
    <t>Weekly</t>
  </si>
  <si>
    <t>1 Room</t>
  </si>
  <si>
    <t>2 Rooms</t>
  </si>
  <si>
    <t>Per Night</t>
  </si>
  <si>
    <t>Average rent per room</t>
  </si>
  <si>
    <t>The market we researched</t>
  </si>
  <si>
    <t>The market we researched re AirBnB</t>
  </si>
  <si>
    <t>Plus Food</t>
  </si>
  <si>
    <t>From the Otago Uni Study</t>
  </si>
  <si>
    <t>per night</t>
  </si>
  <si>
    <t>Electricity</t>
  </si>
  <si>
    <t>Based on what we pay</t>
  </si>
  <si>
    <t>Internet</t>
  </si>
  <si>
    <t>We are on a fixed plan</t>
  </si>
  <si>
    <t>Number of nights</t>
  </si>
  <si>
    <t>4 long weekends (3 night stays)</t>
  </si>
  <si>
    <t>Wear and Tear</t>
  </si>
  <si>
    <t>a guess</t>
  </si>
  <si>
    <t>Additional nights re shows etc</t>
  </si>
  <si>
    <t>Assumed value we will charge</t>
  </si>
  <si>
    <t>the IRD rate</t>
  </si>
  <si>
    <t>Annual Income</t>
  </si>
  <si>
    <t>Option 6</t>
  </si>
  <si>
    <t>3br</t>
  </si>
  <si>
    <t>Size (sq Metres)</t>
  </si>
  <si>
    <t>Rate per metre</t>
  </si>
  <si>
    <t>Build Cost</t>
  </si>
  <si>
    <t>Land Cost</t>
  </si>
  <si>
    <t>Consent Cost</t>
  </si>
  <si>
    <t>Potential Rent/yr</t>
  </si>
  <si>
    <t xml:space="preserve">  maintenance</t>
  </si>
  <si>
    <t>per year</t>
  </si>
  <si>
    <t>Option 7</t>
  </si>
  <si>
    <t>Lifetime Retirement loan at 70 for 10 years</t>
  </si>
  <si>
    <t>Assumptions</t>
  </si>
  <si>
    <t>House value</t>
  </si>
  <si>
    <t>Income</t>
  </si>
  <si>
    <t>Interest in home sold</t>
  </si>
  <si>
    <t>Capital value</t>
  </si>
  <si>
    <t>Fee</t>
  </si>
  <si>
    <t>of initial value</t>
  </si>
  <si>
    <t>House</t>
  </si>
  <si>
    <t>annual</t>
  </si>
  <si>
    <t>Lifetime</t>
  </si>
  <si>
    <t>Owner</t>
  </si>
  <si>
    <t>Year</t>
  </si>
  <si>
    <t>Value</t>
  </si>
  <si>
    <t>age</t>
  </si>
  <si>
    <t>income</t>
  </si>
  <si>
    <t>Ownership</t>
  </si>
  <si>
    <t>Fees</t>
  </si>
  <si>
    <t>SELL Year</t>
  </si>
  <si>
    <t>lost value</t>
  </si>
  <si>
    <t>Summary</t>
  </si>
  <si>
    <t>Sale Costs</t>
  </si>
  <si>
    <t>Property Value</t>
  </si>
  <si>
    <t>Annual Ownership Costs</t>
  </si>
  <si>
    <t>Rates</t>
  </si>
  <si>
    <t>Regular Maint</t>
  </si>
  <si>
    <t>Mortgage</t>
  </si>
  <si>
    <t>Body Corporate</t>
  </si>
  <si>
    <t>Other</t>
  </si>
  <si>
    <t>Total</t>
  </si>
  <si>
    <t>years</t>
  </si>
  <si>
    <t>interest</t>
  </si>
  <si>
    <t>Property Insurance</t>
  </si>
  <si>
    <t>Our Location Median</t>
  </si>
  <si>
    <t>Rent a room  (Border)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</si>
</sst>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6" fontId="0" fillId="0" borderId="0" xfId="0" applyNumberFormat="1" applyAlignment="1">
      <alignment vertical="center"/>
    </xf>
    <xf numFmtId="6" fontId="0" fillId="0" borderId="0" xfId="0" applyNumberFormat="1"/>
    <xf numFmtId="9" fontId="0" fillId="2" borderId="0" xfId="0" applyNumberFormat="1" applyFill="1"/>
    <xf numFmtId="0" fontId="0" fillId="0" borderId="4" xfId="0" applyBorder="1"/>
    <xf numFmtId="164" fontId="0" fillId="0" borderId="5" xfId="0" applyNumberFormat="1" applyBorder="1"/>
    <xf numFmtId="164" fontId="0" fillId="0" borderId="6" xfId="0" applyNumberFormat="1" applyBorder="1"/>
    <xf numFmtId="9" fontId="0" fillId="0" borderId="0" xfId="0" applyNumberFormat="1"/>
    <xf numFmtId="0" fontId="0" fillId="2" borderId="0" xfId="0" applyFill="1"/>
    <xf numFmtId="164" fontId="0" fillId="0" borderId="0" xfId="2" applyNumberFormat="1" applyFont="1"/>
    <xf numFmtId="0" fontId="0" fillId="0" borderId="7" xfId="0" applyBorder="1"/>
    <xf numFmtId="164" fontId="0" fillId="0" borderId="8" xfId="0" applyNumberFormat="1" applyBorder="1"/>
    <xf numFmtId="164" fontId="0" fillId="0" borderId="9" xfId="0" applyNumberFormat="1" applyBorder="1"/>
    <xf numFmtId="6" fontId="0" fillId="0" borderId="10" xfId="0" applyNumberFormat="1" applyBorder="1" applyAlignment="1">
      <alignment vertical="center"/>
    </xf>
    <xf numFmtId="6" fontId="0" fillId="0" borderId="10" xfId="0" applyNumberFormat="1" applyBorder="1"/>
    <xf numFmtId="164" fontId="0" fillId="0" borderId="9" xfId="0" applyNumberFormat="1" applyBorder="1" applyAlignment="1">
      <alignment horizontal="center"/>
    </xf>
    <xf numFmtId="0" fontId="0" fillId="0" borderId="11" xfId="0" applyBorder="1"/>
    <xf numFmtId="164" fontId="0" fillId="0" borderId="12" xfId="0" applyNumberFormat="1" applyBorder="1"/>
    <xf numFmtId="164" fontId="0" fillId="0" borderId="13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164" fontId="0" fillId="0" borderId="10" xfId="2" applyNumberFormat="1" applyFont="1" applyBorder="1"/>
    <xf numFmtId="9" fontId="0" fillId="0" borderId="0" xfId="0" applyNumberFormat="1" applyAlignment="1">
      <alignment horizontal="right"/>
    </xf>
    <xf numFmtId="164" fontId="0" fillId="0" borderId="10" xfId="0" applyNumberForma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9" fontId="0" fillId="0" borderId="0" xfId="3" applyFont="1"/>
    <xf numFmtId="10" fontId="0" fillId="0" borderId="0" xfId="0" applyNumberFormat="1"/>
    <xf numFmtId="0" fontId="3" fillId="0" borderId="0" xfId="0" applyFont="1"/>
    <xf numFmtId="165" fontId="0" fillId="0" borderId="10" xfId="1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0" fillId="2" borderId="0" xfId="2" applyNumberFormat="1" applyFont="1" applyFill="1"/>
    <xf numFmtId="10" fontId="0" fillId="2" borderId="0" xfId="0" applyNumberFormat="1" applyFill="1"/>
    <xf numFmtId="166" fontId="0" fillId="0" borderId="0" xfId="3" applyNumberFormat="1" applyFont="1" applyAlignment="1">
      <alignment horizontal="center"/>
    </xf>
    <xf numFmtId="1" fontId="0" fillId="0" borderId="0" xfId="0" applyNumberFormat="1"/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0" xfId="0" applyNumberFormat="1" applyBorder="1"/>
    <xf numFmtId="1" fontId="0" fillId="0" borderId="14" xfId="0" applyNumberFormat="1" applyBorder="1"/>
    <xf numFmtId="164" fontId="0" fillId="0" borderId="14" xfId="2" applyNumberFormat="1" applyFont="1" applyBorder="1"/>
    <xf numFmtId="6" fontId="0" fillId="2" borderId="0" xfId="0" applyNumberFormat="1" applyFill="1"/>
    <xf numFmtId="0" fontId="4" fillId="0" borderId="0" xfId="0" applyFont="1"/>
    <xf numFmtId="6" fontId="0" fillId="2" borderId="0" xfId="0" applyNumberFormat="1" applyFill="1" applyAlignment="1">
      <alignment vertical="center"/>
    </xf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2" applyNumberFormat="1" applyFont="1" applyFill="1" applyAlignment="1">
      <alignment horizontal="left"/>
    </xf>
    <xf numFmtId="165" fontId="0" fillId="2" borderId="0" xfId="1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edbb9c8bab3d724/Documents/Retirement%20Book/Retirement%20Guide%20-%20V4/Retirement%20Planning%20tables%20-%20v4.xlsx" TargetMode="External"/><Relationship Id="rId1" Type="http://schemas.openxmlformats.org/officeDocument/2006/relationships/externalLinkPath" Target="/2edbb9c8bab3d724/Documents/Retirement%20Book/Retirement%20Guide%20-%20V4/Retirement%20Planning%20tables%20-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sion Control"/>
      <sheetName val="Big Assumptions"/>
      <sheetName val="L2 Debt examples"/>
      <sheetName val="Rules of Thumb"/>
      <sheetName val="F1 2"/>
      <sheetName val="L3 Net Wealth"/>
      <sheetName val="F3 Assets"/>
      <sheetName val="Opt 4"/>
      <sheetName val="F3 Phases"/>
      <sheetName val="F4 -SH"/>
      <sheetName val="F4 Phases"/>
      <sheetName val="F5 Phases"/>
      <sheetName val="L5 Buckets"/>
      <sheetName val="L5 Buckets ret"/>
      <sheetName val="L5 Life Stages"/>
      <sheetName val="L5 and L7 "/>
      <sheetName val="L8 Prop"/>
      <sheetName val="L5.7"/>
      <sheetName val="Sheet5"/>
      <sheetName val="L6 House"/>
      <sheetName val="F7 Phases"/>
      <sheetName val="V2 Budget 1"/>
      <sheetName val="compound interest "/>
      <sheetName val="V3 Budget"/>
      <sheetName val="V4 Budget"/>
      <sheetName val="V5 Budget"/>
      <sheetName val="V6 Budget  L7"/>
      <sheetName val="V6 Periods"/>
      <sheetName val="JJ Buckets v1 L7"/>
      <sheetName val="V7 Budget"/>
      <sheetName val="V7 Phases"/>
      <sheetName val="Interest Rates"/>
      <sheetName val="L8 - Criteria"/>
      <sheetName val="L8 - Fees"/>
      <sheetName val="L9 Budgeting"/>
      <sheetName val="L9"/>
      <sheetName val="L9 Risk"/>
      <sheetName val="CP2 Inflation"/>
      <sheetName val="Portfolio"/>
      <sheetName val="Tax Rates"/>
      <sheetName val="25 rule"/>
      <sheetName val="L9 Family loan"/>
      <sheetName val="other stuff"/>
      <sheetName val="LifeExp"/>
    </sheetNames>
    <sheetDataSet>
      <sheetData sheetId="0"/>
      <sheetData sheetId="1">
        <row r="70">
          <cell r="B70">
            <v>5.8500000000000003E-2</v>
          </cell>
          <cell r="F70">
            <v>5.8500000000000003E-2</v>
          </cell>
        </row>
        <row r="71">
          <cell r="B71">
            <v>500</v>
          </cell>
          <cell r="F71">
            <v>400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3"/>
  <sheetViews>
    <sheetView tabSelected="1" workbookViewId="0">
      <pane ySplit="11" topLeftCell="A42" activePane="bottomLeft" state="frozen"/>
      <selection pane="bottomLeft" activeCell="C4" sqref="C4"/>
    </sheetView>
  </sheetViews>
  <sheetFormatPr defaultRowHeight="15" outlineLevelRow="1" x14ac:dyDescent="0.25"/>
  <cols>
    <col min="2" max="2" width="29.28515625" customWidth="1"/>
    <col min="3" max="3" width="13.7109375" customWidth="1"/>
    <col min="4" max="4" width="12.5703125" bestFit="1" customWidth="1"/>
    <col min="6" max="6" width="10.85546875" customWidth="1"/>
    <col min="7" max="7" width="10.7109375" customWidth="1"/>
    <col min="8" max="8" width="12.5703125" customWidth="1"/>
    <col min="10" max="10" width="10" bestFit="1" customWidth="1"/>
    <col min="11" max="11" width="12.28515625" customWidth="1"/>
    <col min="12" max="12" width="23.85546875" customWidth="1"/>
    <col min="14" max="14" width="5.140625" customWidth="1"/>
    <col min="19" max="19" width="12.5703125" bestFit="1" customWidth="1"/>
    <col min="22" max="22" width="10.5703125" bestFit="1" customWidth="1"/>
  </cols>
  <sheetData>
    <row r="1" spans="1:7" x14ac:dyDescent="0.25">
      <c r="A1" t="s">
        <v>121</v>
      </c>
    </row>
    <row r="3" spans="1:7" x14ac:dyDescent="0.25">
      <c r="B3" s="2" t="s">
        <v>3</v>
      </c>
      <c r="C3" s="3" t="s">
        <v>4</v>
      </c>
      <c r="D3" s="4"/>
    </row>
    <row r="4" spans="1:7" x14ac:dyDescent="0.25">
      <c r="B4" s="9" t="str">
        <f>+B42</f>
        <v>Sell and rent</v>
      </c>
      <c r="C4" s="10">
        <f>+C47-C50</f>
        <v>6575</v>
      </c>
      <c r="D4" s="11">
        <f>+C49-C50</f>
        <v>21685.000000000007</v>
      </c>
    </row>
    <row r="5" spans="1:7" x14ac:dyDescent="0.25">
      <c r="B5" s="15" t="str">
        <f>+B60</f>
        <v>Downsize</v>
      </c>
      <c r="C5" s="16">
        <f>+C69+C78</f>
        <v>5775</v>
      </c>
      <c r="D5" s="17">
        <f>+D71+D78</f>
        <v>14485.000000000002</v>
      </c>
    </row>
    <row r="6" spans="1:7" x14ac:dyDescent="0.25">
      <c r="B6" s="15" t="str">
        <f>+B82</f>
        <v>Relocate</v>
      </c>
      <c r="C6" s="16">
        <f>+C100</f>
        <v>3655.5031446540906</v>
      </c>
      <c r="D6" s="17">
        <f>+D102</f>
        <v>5970.691823899373</v>
      </c>
    </row>
    <row r="7" spans="1:7" x14ac:dyDescent="0.25">
      <c r="B7" s="15" t="str">
        <f>+B105</f>
        <v>Upsize</v>
      </c>
      <c r="C7" s="16">
        <f>+C121</f>
        <v>8104.1011461047856</v>
      </c>
      <c r="D7" s="20" t="s">
        <v>12</v>
      </c>
    </row>
    <row r="8" spans="1:7" x14ac:dyDescent="0.25">
      <c r="B8" s="15" t="s">
        <v>13</v>
      </c>
      <c r="C8" s="16">
        <f>+C136</f>
        <v>10764</v>
      </c>
      <c r="D8" s="17">
        <f>+D136</f>
        <v>21528</v>
      </c>
    </row>
    <row r="9" spans="1:7" x14ac:dyDescent="0.25">
      <c r="B9" s="21" t="s">
        <v>14</v>
      </c>
      <c r="C9" s="22">
        <f>+C158</f>
        <v>-38634.490623357742</v>
      </c>
      <c r="D9" s="23" t="s">
        <v>12</v>
      </c>
    </row>
    <row r="10" spans="1:7" x14ac:dyDescent="0.25">
      <c r="C10" s="24"/>
      <c r="D10" s="24"/>
    </row>
    <row r="11" spans="1:7" x14ac:dyDescent="0.25">
      <c r="B11" s="1"/>
    </row>
    <row r="13" spans="1:7" x14ac:dyDescent="0.25">
      <c r="A13" s="1" t="s">
        <v>102</v>
      </c>
    </row>
    <row r="14" spans="1:7" outlineLevel="1" x14ac:dyDescent="0.25"/>
    <row r="15" spans="1:7" outlineLevel="1" x14ac:dyDescent="0.25">
      <c r="A15" s="48" t="s">
        <v>123</v>
      </c>
      <c r="E15" s="1" t="s">
        <v>0</v>
      </c>
    </row>
    <row r="16" spans="1:7" outlineLevel="1" x14ac:dyDescent="0.25">
      <c r="E16" s="1" t="s">
        <v>1</v>
      </c>
      <c r="G16" s="1" t="s">
        <v>2</v>
      </c>
    </row>
    <row r="17" spans="1:11" outlineLevel="1" x14ac:dyDescent="0.25">
      <c r="A17" s="5" t="s">
        <v>5</v>
      </c>
      <c r="E17" s="6">
        <v>775000</v>
      </c>
      <c r="G17" s="47">
        <f>+E17</f>
        <v>775000</v>
      </c>
    </row>
    <row r="18" spans="1:11" outlineLevel="1" x14ac:dyDescent="0.25">
      <c r="A18" s="5" t="s">
        <v>7</v>
      </c>
      <c r="E18" s="6">
        <f>-D29</f>
        <v>-19500</v>
      </c>
      <c r="G18" s="7">
        <f>+E18</f>
        <v>-19500</v>
      </c>
    </row>
    <row r="19" spans="1:11" outlineLevel="1" x14ac:dyDescent="0.25">
      <c r="A19" s="5" t="s">
        <v>9</v>
      </c>
      <c r="E19" s="49">
        <v>0</v>
      </c>
      <c r="G19" s="47">
        <v>-45000</v>
      </c>
      <c r="H19" s="25" t="s">
        <v>131</v>
      </c>
      <c r="I19" s="13">
        <v>5</v>
      </c>
      <c r="J19" t="s">
        <v>132</v>
      </c>
      <c r="K19" s="8">
        <v>0.06</v>
      </c>
    </row>
    <row r="20" spans="1:11" outlineLevel="1" x14ac:dyDescent="0.25">
      <c r="A20" s="5" t="s">
        <v>11</v>
      </c>
      <c r="E20" s="18">
        <f>SUM(E17:E19)</f>
        <v>755500</v>
      </c>
      <c r="G20" s="18">
        <f>SUM(G17:G19)</f>
        <v>710500</v>
      </c>
    </row>
    <row r="21" spans="1:11" outlineLevel="1" x14ac:dyDescent="0.25"/>
    <row r="22" spans="1:11" outlineLevel="1" x14ac:dyDescent="0.25"/>
    <row r="23" spans="1:11" outlineLevel="1" x14ac:dyDescent="0.25">
      <c r="A23" s="1" t="s">
        <v>15</v>
      </c>
      <c r="D23" s="25" t="s">
        <v>16</v>
      </c>
      <c r="E23" s="7">
        <f>+E20</f>
        <v>755500</v>
      </c>
      <c r="F23" s="26" t="s">
        <v>17</v>
      </c>
      <c r="G23" s="14">
        <f>+G20</f>
        <v>710500</v>
      </c>
      <c r="H23" s="25" t="s">
        <v>18</v>
      </c>
      <c r="I23" s="24">
        <f>+E23-G23</f>
        <v>45000</v>
      </c>
    </row>
    <row r="24" spans="1:11" outlineLevel="1" x14ac:dyDescent="0.25"/>
    <row r="25" spans="1:11" outlineLevel="1" x14ac:dyDescent="0.25">
      <c r="A25" s="48" t="s">
        <v>122</v>
      </c>
    </row>
    <row r="26" spans="1:11" outlineLevel="1" x14ac:dyDescent="0.25">
      <c r="A26" t="s">
        <v>6</v>
      </c>
      <c r="C26" s="8">
        <v>0.02</v>
      </c>
      <c r="D26" s="7">
        <f>+C26*E17</f>
        <v>15500</v>
      </c>
    </row>
    <row r="27" spans="1:11" outlineLevel="1" x14ac:dyDescent="0.25">
      <c r="A27" t="s">
        <v>8</v>
      </c>
      <c r="B27" s="12"/>
      <c r="C27" s="13">
        <v>2000</v>
      </c>
      <c r="D27" s="14">
        <f>+C27</f>
        <v>2000</v>
      </c>
    </row>
    <row r="28" spans="1:11" outlineLevel="1" x14ac:dyDescent="0.25">
      <c r="A28" t="s">
        <v>10</v>
      </c>
      <c r="C28" s="13">
        <v>2000</v>
      </c>
      <c r="D28" s="14">
        <f>+C28</f>
        <v>2000</v>
      </c>
    </row>
    <row r="29" spans="1:11" outlineLevel="1" x14ac:dyDescent="0.25">
      <c r="D29" s="19">
        <f>SUM(D26:D28)</f>
        <v>19500</v>
      </c>
    </row>
    <row r="30" spans="1:11" outlineLevel="1" x14ac:dyDescent="0.25"/>
    <row r="31" spans="1:11" outlineLevel="1" x14ac:dyDescent="0.25">
      <c r="A31" s="48" t="s">
        <v>124</v>
      </c>
    </row>
    <row r="32" spans="1:11" outlineLevel="1" x14ac:dyDescent="0.25">
      <c r="A32" t="s">
        <v>125</v>
      </c>
      <c r="C32" s="38">
        <v>3724</v>
      </c>
    </row>
    <row r="33" spans="1:12" outlineLevel="1" x14ac:dyDescent="0.25">
      <c r="A33" t="s">
        <v>133</v>
      </c>
      <c r="C33" s="38">
        <v>2380</v>
      </c>
    </row>
    <row r="34" spans="1:12" outlineLevel="1" x14ac:dyDescent="0.25">
      <c r="A34" t="s">
        <v>126</v>
      </c>
      <c r="C34" s="38">
        <v>1000</v>
      </c>
    </row>
    <row r="35" spans="1:12" outlineLevel="1" x14ac:dyDescent="0.25">
      <c r="A35" t="s">
        <v>127</v>
      </c>
      <c r="C35" s="38">
        <f>PMT(K19,I19,G19,0)</f>
        <v>10682.838019403533</v>
      </c>
    </row>
    <row r="36" spans="1:12" outlineLevel="1" x14ac:dyDescent="0.25">
      <c r="A36" t="s">
        <v>128</v>
      </c>
      <c r="C36" s="38">
        <v>0</v>
      </c>
    </row>
    <row r="37" spans="1:12" outlineLevel="1" x14ac:dyDescent="0.25">
      <c r="A37" t="s">
        <v>129</v>
      </c>
      <c r="C37" s="38">
        <v>0</v>
      </c>
      <c r="D37" s="24">
        <f>SUM(C32:C37)</f>
        <v>17786.838019403534</v>
      </c>
    </row>
    <row r="38" spans="1:12" outlineLevel="1" x14ac:dyDescent="0.25">
      <c r="A38" t="s">
        <v>130</v>
      </c>
      <c r="C38" s="29">
        <f>SUM(C32:C37)</f>
        <v>17786.838019403534</v>
      </c>
    </row>
    <row r="39" spans="1:12" outlineLevel="1" x14ac:dyDescent="0.25"/>
    <row r="40" spans="1:12" outlineLevel="1" x14ac:dyDescent="0.25"/>
    <row r="42" spans="1:12" x14ac:dyDescent="0.25">
      <c r="A42" t="s">
        <v>19</v>
      </c>
      <c r="B42" s="1" t="s">
        <v>20</v>
      </c>
      <c r="C42" s="1"/>
    </row>
    <row r="43" spans="1:12" outlineLevel="1" x14ac:dyDescent="0.25"/>
    <row r="44" spans="1:12" outlineLevel="1" x14ac:dyDescent="0.25">
      <c r="B44" t="s">
        <v>21</v>
      </c>
      <c r="C44" s="14">
        <f>+E20</f>
        <v>755500</v>
      </c>
      <c r="K44" s="14"/>
    </row>
    <row r="45" spans="1:12" outlineLevel="1" x14ac:dyDescent="0.25"/>
    <row r="46" spans="1:12" outlineLevel="1" x14ac:dyDescent="0.25">
      <c r="B46" t="s">
        <v>22</v>
      </c>
    </row>
    <row r="47" spans="1:12" outlineLevel="1" x14ac:dyDescent="0.25">
      <c r="B47" s="12">
        <v>0.05</v>
      </c>
      <c r="C47" s="14">
        <f>+C$44*B47</f>
        <v>37775</v>
      </c>
      <c r="K47" s="14"/>
      <c r="L47" s="12"/>
    </row>
    <row r="48" spans="1:12" outlineLevel="1" x14ac:dyDescent="0.25">
      <c r="B48" s="12">
        <v>0.06</v>
      </c>
      <c r="C48" s="14">
        <f>+C$44*B48</f>
        <v>45330</v>
      </c>
      <c r="K48" s="14"/>
      <c r="L48" s="12"/>
    </row>
    <row r="49" spans="1:12" outlineLevel="1" x14ac:dyDescent="0.25">
      <c r="B49" s="12">
        <v>7.0000000000000007E-2</v>
      </c>
      <c r="C49" s="14">
        <f>+C$44*B49</f>
        <v>52885.000000000007</v>
      </c>
      <c r="K49" s="14"/>
      <c r="L49" s="12"/>
    </row>
    <row r="50" spans="1:12" outlineLevel="1" x14ac:dyDescent="0.25">
      <c r="B50" t="s">
        <v>23</v>
      </c>
      <c r="C50" s="14">
        <f>+D50*52</f>
        <v>31200</v>
      </c>
      <c r="D50" s="47">
        <v>600</v>
      </c>
      <c r="E50" t="s">
        <v>24</v>
      </c>
      <c r="K50" s="14"/>
      <c r="L50" s="7"/>
    </row>
    <row r="51" spans="1:12" outlineLevel="1" x14ac:dyDescent="0.25">
      <c r="C51" s="14"/>
      <c r="D51" s="7"/>
      <c r="K51" s="14"/>
      <c r="L51" s="7"/>
    </row>
    <row r="52" spans="1:12" outlineLevel="1" x14ac:dyDescent="0.25">
      <c r="B52" t="s">
        <v>25</v>
      </c>
      <c r="C52" s="27">
        <f>+C48-C50</f>
        <v>14130</v>
      </c>
      <c r="D52" s="28" t="s">
        <v>26</v>
      </c>
      <c r="K52" s="14"/>
      <c r="L52" s="28"/>
    </row>
    <row r="53" spans="1:12" outlineLevel="1" x14ac:dyDescent="0.25">
      <c r="C53" s="14"/>
      <c r="D53" s="12"/>
      <c r="K53" s="14"/>
      <c r="L53" s="12"/>
    </row>
    <row r="54" spans="1:12" outlineLevel="1" x14ac:dyDescent="0.25">
      <c r="K54" s="14"/>
    </row>
    <row r="55" spans="1:12" outlineLevel="1" x14ac:dyDescent="0.25">
      <c r="B55" t="s">
        <v>27</v>
      </c>
      <c r="C55" s="14">
        <f>+C38</f>
        <v>17786.838019403534</v>
      </c>
      <c r="E55" t="s">
        <v>28</v>
      </c>
      <c r="K55" s="14"/>
    </row>
    <row r="56" spans="1:12" outlineLevel="1" x14ac:dyDescent="0.25">
      <c r="B56" t="s">
        <v>29</v>
      </c>
      <c r="C56" s="29">
        <f>+C52-C55</f>
        <v>-3656.8380194035344</v>
      </c>
      <c r="E56" s="14">
        <f>+C35</f>
        <v>10682.838019403533</v>
      </c>
      <c r="F56" t="s">
        <v>30</v>
      </c>
      <c r="G56" s="24">
        <f>+C52-E56</f>
        <v>3447.1619805964674</v>
      </c>
      <c r="K56" s="14"/>
    </row>
    <row r="57" spans="1:12" outlineLevel="1" x14ac:dyDescent="0.25"/>
    <row r="60" spans="1:12" x14ac:dyDescent="0.25">
      <c r="A60" t="s">
        <v>31</v>
      </c>
      <c r="B60" s="1" t="s">
        <v>32</v>
      </c>
      <c r="C60" s="1"/>
    </row>
    <row r="61" spans="1:12" outlineLevel="1" x14ac:dyDescent="0.25"/>
    <row r="62" spans="1:12" outlineLevel="1" x14ac:dyDescent="0.25">
      <c r="B62" t="s">
        <v>33</v>
      </c>
      <c r="C62" s="14">
        <f>+C44</f>
        <v>755500</v>
      </c>
      <c r="D62" s="14">
        <f>+C62</f>
        <v>755500</v>
      </c>
    </row>
    <row r="63" spans="1:12" outlineLevel="1" x14ac:dyDescent="0.25"/>
    <row r="64" spans="1:12" outlineLevel="1" x14ac:dyDescent="0.25">
      <c r="B64" t="s">
        <v>34</v>
      </c>
      <c r="C64" s="30" t="s">
        <v>35</v>
      </c>
      <c r="D64" s="30" t="s">
        <v>36</v>
      </c>
    </row>
    <row r="65" spans="2:4" outlineLevel="1" x14ac:dyDescent="0.25">
      <c r="C65" s="47">
        <v>660000</v>
      </c>
      <c r="D65" s="38">
        <v>570000</v>
      </c>
    </row>
    <row r="66" spans="2:4" outlineLevel="1" x14ac:dyDescent="0.25">
      <c r="B66" t="s">
        <v>37</v>
      </c>
      <c r="C66" s="19">
        <f>+C62-C65</f>
        <v>95500</v>
      </c>
      <c r="D66" s="19">
        <f>+D62-D65</f>
        <v>185500</v>
      </c>
    </row>
    <row r="67" spans="2:4" outlineLevel="1" x14ac:dyDescent="0.25"/>
    <row r="68" spans="2:4" outlineLevel="1" x14ac:dyDescent="0.25">
      <c r="B68" t="s">
        <v>38</v>
      </c>
    </row>
    <row r="69" spans="2:4" outlineLevel="1" x14ac:dyDescent="0.25">
      <c r="B69" s="12">
        <v>0.05</v>
      </c>
      <c r="C69" s="14">
        <f>+C$66*B69</f>
        <v>4775</v>
      </c>
      <c r="D69" s="14">
        <f>+D$66*B69</f>
        <v>9275</v>
      </c>
    </row>
    <row r="70" spans="2:4" outlineLevel="1" x14ac:dyDescent="0.25">
      <c r="B70" s="12">
        <v>0.06</v>
      </c>
      <c r="C70" s="14">
        <f>+C$66*B70</f>
        <v>5730</v>
      </c>
      <c r="D70" s="14">
        <f>+D$66*B70</f>
        <v>11130</v>
      </c>
    </row>
    <row r="71" spans="2:4" outlineLevel="1" x14ac:dyDescent="0.25">
      <c r="B71" s="12">
        <v>7.0000000000000007E-2</v>
      </c>
      <c r="C71" s="14">
        <f>+C$66*B71</f>
        <v>6685.0000000000009</v>
      </c>
      <c r="D71" s="14">
        <f>+D$66*B71</f>
        <v>12985.000000000002</v>
      </c>
    </row>
    <row r="72" spans="2:4" outlineLevel="1" x14ac:dyDescent="0.25"/>
    <row r="73" spans="2:4" outlineLevel="1" x14ac:dyDescent="0.25"/>
    <row r="74" spans="2:4" outlineLevel="1" x14ac:dyDescent="0.25">
      <c r="B74" t="s">
        <v>39</v>
      </c>
      <c r="C74" s="14">
        <f>+C32+C33+C34+C36+C37</f>
        <v>7104</v>
      </c>
      <c r="D74" s="24">
        <f>+C74</f>
        <v>7104</v>
      </c>
    </row>
    <row r="75" spans="2:4" outlineLevel="1" x14ac:dyDescent="0.25">
      <c r="C75" s="14"/>
      <c r="D75" s="24"/>
    </row>
    <row r="76" spans="2:4" outlineLevel="1" x14ac:dyDescent="0.25">
      <c r="B76" t="s">
        <v>40</v>
      </c>
      <c r="C76" s="30" t="str">
        <f>+C64</f>
        <v>2br</v>
      </c>
      <c r="D76" s="30" t="str">
        <f>+D64</f>
        <v>1br</v>
      </c>
    </row>
    <row r="77" spans="2:4" outlineLevel="1" x14ac:dyDescent="0.25">
      <c r="C77" s="31">
        <f>+C74-1000</f>
        <v>6104</v>
      </c>
      <c r="D77" s="24">
        <f>+D74-1500</f>
        <v>5604</v>
      </c>
    </row>
    <row r="78" spans="2:4" outlineLevel="1" x14ac:dyDescent="0.25">
      <c r="B78" t="s">
        <v>37</v>
      </c>
      <c r="C78" s="19">
        <f>+C74-C77</f>
        <v>1000</v>
      </c>
      <c r="D78" s="19">
        <f>+D74-D77</f>
        <v>1500</v>
      </c>
    </row>
    <row r="79" spans="2:4" outlineLevel="1" x14ac:dyDescent="0.25"/>
    <row r="82" spans="1:7" x14ac:dyDescent="0.25">
      <c r="A82" t="s">
        <v>41</v>
      </c>
      <c r="B82" s="1" t="s">
        <v>42</v>
      </c>
      <c r="C82" s="1"/>
    </row>
    <row r="83" spans="1:7" outlineLevel="1" x14ac:dyDescent="0.25"/>
    <row r="84" spans="1:7" outlineLevel="1" x14ac:dyDescent="0.25">
      <c r="B84" t="s">
        <v>43</v>
      </c>
      <c r="C84" s="24">
        <f>+E17</f>
        <v>775000</v>
      </c>
      <c r="D84" t="s">
        <v>44</v>
      </c>
    </row>
    <row r="85" spans="1:7" outlineLevel="1" x14ac:dyDescent="0.25">
      <c r="B85" t="s">
        <v>134</v>
      </c>
      <c r="C85" s="50">
        <v>795000</v>
      </c>
    </row>
    <row r="86" spans="1:7" outlineLevel="1" x14ac:dyDescent="0.25">
      <c r="C86" s="32">
        <f>+(C84-C85)/C85</f>
        <v>-2.5157232704402517E-2</v>
      </c>
      <c r="D86" t="str">
        <f>+IF(C86&gt;0,"above","below")</f>
        <v>below</v>
      </c>
    </row>
    <row r="87" spans="1:7" outlineLevel="1" x14ac:dyDescent="0.25">
      <c r="C87" s="24"/>
    </row>
    <row r="88" spans="1:7" outlineLevel="1" x14ac:dyDescent="0.25">
      <c r="C88" s="51" t="s">
        <v>48</v>
      </c>
      <c r="D88" s="51" t="s">
        <v>49</v>
      </c>
      <c r="G88" s="24"/>
    </row>
    <row r="89" spans="1:7" outlineLevel="1" x14ac:dyDescent="0.25">
      <c r="B89" s="24" t="s">
        <v>45</v>
      </c>
      <c r="C89" s="50">
        <v>700000</v>
      </c>
      <c r="D89" s="50">
        <v>687500</v>
      </c>
    </row>
    <row r="90" spans="1:7" outlineLevel="1" x14ac:dyDescent="0.25">
      <c r="B90" t="str">
        <f>+ROUND(C86*100,0) &amp;"% "&amp;D86</f>
        <v>-3% below</v>
      </c>
      <c r="C90" s="14">
        <f>+C89*(1+C86)</f>
        <v>682389.93710691819</v>
      </c>
      <c r="D90" s="14">
        <f>+D89*(1+C86)</f>
        <v>670204.40251572325</v>
      </c>
    </row>
    <row r="91" spans="1:7" outlineLevel="1" x14ac:dyDescent="0.25"/>
    <row r="92" spans="1:7" outlineLevel="1" x14ac:dyDescent="0.25"/>
    <row r="93" spans="1:7" outlineLevel="1" x14ac:dyDescent="0.25">
      <c r="B93" t="s">
        <v>46</v>
      </c>
      <c r="C93" s="24">
        <f>+C62</f>
        <v>755500</v>
      </c>
      <c r="D93" s="24">
        <f>+C62</f>
        <v>755500</v>
      </c>
    </row>
    <row r="94" spans="1:7" outlineLevel="1" x14ac:dyDescent="0.25"/>
    <row r="95" spans="1:7" outlineLevel="1" x14ac:dyDescent="0.25">
      <c r="B95" t="s">
        <v>47</v>
      </c>
      <c r="C95" s="30" t="str">
        <f>+C88</f>
        <v>Nelson</v>
      </c>
      <c r="D95" s="30" t="str">
        <f>+D88</f>
        <v>Hawkes Bay</v>
      </c>
    </row>
    <row r="96" spans="1:7" outlineLevel="1" x14ac:dyDescent="0.25">
      <c r="C96" s="24">
        <f>+C90</f>
        <v>682389.93710691819</v>
      </c>
      <c r="D96" s="24">
        <f>+D90</f>
        <v>670204.40251572325</v>
      </c>
    </row>
    <row r="97" spans="1:4" outlineLevel="1" x14ac:dyDescent="0.25">
      <c r="B97" t="s">
        <v>50</v>
      </c>
      <c r="C97" s="29">
        <f>+C93-C96</f>
        <v>73110.062893081806</v>
      </c>
      <c r="D97" s="29">
        <f>+D93-D96</f>
        <v>85295.597484276746</v>
      </c>
    </row>
    <row r="98" spans="1:4" outlineLevel="1" x14ac:dyDescent="0.25"/>
    <row r="99" spans="1:4" outlineLevel="1" x14ac:dyDescent="0.25">
      <c r="B99" t="s">
        <v>22</v>
      </c>
    </row>
    <row r="100" spans="1:4" outlineLevel="1" x14ac:dyDescent="0.25">
      <c r="B100" s="12">
        <v>0.05</v>
      </c>
      <c r="C100" s="14">
        <f>+C$97*B100</f>
        <v>3655.5031446540906</v>
      </c>
      <c r="D100" s="14">
        <f>+D$97*B100</f>
        <v>4264.7798742138375</v>
      </c>
    </row>
    <row r="101" spans="1:4" outlineLevel="1" x14ac:dyDescent="0.25">
      <c r="B101" s="12">
        <v>0.06</v>
      </c>
      <c r="C101" s="14">
        <f>+C$97*B101</f>
        <v>4386.6037735849086</v>
      </c>
      <c r="D101" s="14">
        <f>+D$97*B101</f>
        <v>5117.7358490566048</v>
      </c>
    </row>
    <row r="102" spans="1:4" outlineLevel="1" x14ac:dyDescent="0.25">
      <c r="B102" s="12">
        <v>7.0000000000000007E-2</v>
      </c>
      <c r="C102" s="14">
        <f>+C$97*B102</f>
        <v>5117.7044025157265</v>
      </c>
      <c r="D102" s="14">
        <f>+D$97*B102</f>
        <v>5970.691823899373</v>
      </c>
    </row>
    <row r="105" spans="1:4" x14ac:dyDescent="0.25">
      <c r="A105" t="s">
        <v>51</v>
      </c>
      <c r="B105" s="1" t="s">
        <v>52</v>
      </c>
      <c r="C105" s="1"/>
    </row>
    <row r="107" spans="1:4" x14ac:dyDescent="0.25">
      <c r="B107" t="s">
        <v>53</v>
      </c>
      <c r="C107" s="24">
        <f>+C62</f>
        <v>755500</v>
      </c>
    </row>
    <row r="109" spans="1:4" x14ac:dyDescent="0.25">
      <c r="B109" t="s">
        <v>54</v>
      </c>
      <c r="C109" s="38">
        <v>900000</v>
      </c>
      <c r="D109" t="s">
        <v>55</v>
      </c>
    </row>
    <row r="111" spans="1:4" x14ac:dyDescent="0.25">
      <c r="B111" t="s">
        <v>56</v>
      </c>
      <c r="C111" s="24">
        <f>+C109-C107</f>
        <v>144500</v>
      </c>
    </row>
    <row r="112" spans="1:4" x14ac:dyDescent="0.25">
      <c r="C112" s="24"/>
    </row>
    <row r="113" spans="1:15" x14ac:dyDescent="0.25">
      <c r="C113" s="24"/>
    </row>
    <row r="114" spans="1:15" x14ac:dyDescent="0.25">
      <c r="B114" t="s">
        <v>57</v>
      </c>
      <c r="C114" s="14">
        <f>+D114*52</f>
        <v>26000</v>
      </c>
      <c r="D114" s="13">
        <v>500</v>
      </c>
      <c r="E114" t="s">
        <v>24</v>
      </c>
    </row>
    <row r="115" spans="1:15" x14ac:dyDescent="0.25">
      <c r="B115" t="s">
        <v>58</v>
      </c>
      <c r="C115" s="24"/>
    </row>
    <row r="116" spans="1:15" x14ac:dyDescent="0.25">
      <c r="B116" t="s">
        <v>59</v>
      </c>
      <c r="C116" s="24">
        <f>+PMT(D116,E116,C111,0,0)</f>
        <v>-14395.898853895214</v>
      </c>
      <c r="D116" s="39">
        <v>5.5E-2</v>
      </c>
      <c r="E116" s="13">
        <v>15</v>
      </c>
      <c r="F116" t="s">
        <v>60</v>
      </c>
    </row>
    <row r="117" spans="1:15" x14ac:dyDescent="0.25">
      <c r="B117" t="s">
        <v>61</v>
      </c>
      <c r="C117" s="52">
        <v>-2000</v>
      </c>
    </row>
    <row r="118" spans="1:15" x14ac:dyDescent="0.25">
      <c r="B118" t="s">
        <v>62</v>
      </c>
      <c r="C118" s="52">
        <v>-1000</v>
      </c>
    </row>
    <row r="119" spans="1:15" x14ac:dyDescent="0.25">
      <c r="B119" t="s">
        <v>63</v>
      </c>
      <c r="C119" s="52">
        <v>-500</v>
      </c>
    </row>
    <row r="121" spans="1:15" x14ac:dyDescent="0.25">
      <c r="B121" t="s">
        <v>64</v>
      </c>
      <c r="C121" s="29">
        <f>SUM(C114:C120)</f>
        <v>8104.1011461047856</v>
      </c>
      <c r="D121" t="s">
        <v>65</v>
      </c>
    </row>
    <row r="124" spans="1:15" x14ac:dyDescent="0.25">
      <c r="A124" t="s">
        <v>66</v>
      </c>
      <c r="B124" t="s">
        <v>135</v>
      </c>
      <c r="C124" s="1"/>
      <c r="K124" t="s">
        <v>66</v>
      </c>
      <c r="L124" t="s">
        <v>67</v>
      </c>
    </row>
    <row r="126" spans="1:15" x14ac:dyDescent="0.25">
      <c r="B126" s="1" t="s">
        <v>68</v>
      </c>
      <c r="C126" s="1" t="s">
        <v>69</v>
      </c>
      <c r="D126" s="1" t="s">
        <v>70</v>
      </c>
      <c r="L126" s="1" t="s">
        <v>71</v>
      </c>
      <c r="M126" s="1" t="s">
        <v>69</v>
      </c>
      <c r="N126" s="1"/>
    </row>
    <row r="127" spans="1:15" x14ac:dyDescent="0.25">
      <c r="B127" t="s">
        <v>72</v>
      </c>
      <c r="C127" s="38">
        <v>130</v>
      </c>
      <c r="D127" s="14">
        <f>+C127*2</f>
        <v>260</v>
      </c>
      <c r="E127" s="34" t="s">
        <v>73</v>
      </c>
      <c r="L127" t="s">
        <v>72</v>
      </c>
      <c r="M127" s="38">
        <v>100</v>
      </c>
      <c r="N127" s="14"/>
      <c r="O127" s="34" t="s">
        <v>74</v>
      </c>
    </row>
    <row r="128" spans="1:15" x14ac:dyDescent="0.25">
      <c r="B128" t="s">
        <v>75</v>
      </c>
      <c r="C128" s="50">
        <v>90</v>
      </c>
      <c r="D128" s="14">
        <f t="shared" ref="D128:D131" si="0">+C128*2</f>
        <v>180</v>
      </c>
      <c r="E128" s="34" t="s">
        <v>76</v>
      </c>
      <c r="L128" t="s">
        <v>77</v>
      </c>
      <c r="M128" s="24"/>
      <c r="N128" s="14"/>
      <c r="O128" s="34"/>
    </row>
    <row r="129" spans="1:15" x14ac:dyDescent="0.25">
      <c r="B129" t="s">
        <v>78</v>
      </c>
      <c r="C129" s="50">
        <v>60</v>
      </c>
      <c r="D129" s="14">
        <f t="shared" si="0"/>
        <v>120</v>
      </c>
      <c r="E129" s="34" t="s">
        <v>79</v>
      </c>
      <c r="O129" s="34"/>
    </row>
    <row r="130" spans="1:15" x14ac:dyDescent="0.25">
      <c r="B130" t="s">
        <v>80</v>
      </c>
      <c r="C130" s="50">
        <v>0</v>
      </c>
      <c r="D130" s="14">
        <f t="shared" si="0"/>
        <v>0</v>
      </c>
      <c r="E130" s="34" t="s">
        <v>81</v>
      </c>
      <c r="L130" t="s">
        <v>82</v>
      </c>
      <c r="M130" s="53">
        <v>12</v>
      </c>
      <c r="N130" s="14"/>
      <c r="O130" s="34" t="s">
        <v>83</v>
      </c>
    </row>
    <row r="131" spans="1:15" x14ac:dyDescent="0.25">
      <c r="B131" t="s">
        <v>84</v>
      </c>
      <c r="C131" s="50">
        <v>20</v>
      </c>
      <c r="D131" s="14">
        <f t="shared" si="0"/>
        <v>40</v>
      </c>
      <c r="E131" s="34" t="s">
        <v>85</v>
      </c>
      <c r="M131" s="53">
        <v>12</v>
      </c>
      <c r="N131" s="14"/>
      <c r="O131" s="34" t="s">
        <v>86</v>
      </c>
    </row>
    <row r="132" spans="1:15" x14ac:dyDescent="0.25">
      <c r="C132" s="29">
        <f>SUM(C127:C131)</f>
        <v>300</v>
      </c>
      <c r="D132" s="29">
        <f>SUM(D127:D131)</f>
        <v>600</v>
      </c>
      <c r="E132" s="34"/>
      <c r="M132" s="35">
        <f>SUM(M130:M131)</f>
        <v>24</v>
      </c>
      <c r="N132" s="14"/>
    </row>
    <row r="133" spans="1:15" x14ac:dyDescent="0.25">
      <c r="E133" s="34"/>
    </row>
    <row r="134" spans="1:15" x14ac:dyDescent="0.25">
      <c r="B134" t="s">
        <v>87</v>
      </c>
      <c r="C134" s="50">
        <v>207</v>
      </c>
      <c r="D134">
        <f>+C134*2</f>
        <v>414</v>
      </c>
      <c r="E134" s="34" t="s">
        <v>88</v>
      </c>
      <c r="L134" t="s">
        <v>89</v>
      </c>
      <c r="M134" s="24">
        <f>+M132*M127</f>
        <v>2400</v>
      </c>
    </row>
    <row r="136" spans="1:15" x14ac:dyDescent="0.25">
      <c r="B136" t="s">
        <v>89</v>
      </c>
      <c r="C136" s="24">
        <f>52*C134</f>
        <v>10764</v>
      </c>
      <c r="D136" s="24">
        <f>52*D134</f>
        <v>21528</v>
      </c>
      <c r="N136" s="24"/>
    </row>
    <row r="140" spans="1:15" x14ac:dyDescent="0.25">
      <c r="A140" t="s">
        <v>90</v>
      </c>
      <c r="B140" t="s">
        <v>14</v>
      </c>
      <c r="C140" s="1"/>
    </row>
    <row r="141" spans="1:15" x14ac:dyDescent="0.25">
      <c r="C141" s="36" t="s">
        <v>91</v>
      </c>
      <c r="H141" s="37" t="s">
        <v>35</v>
      </c>
    </row>
    <row r="142" spans="1:15" x14ac:dyDescent="0.25">
      <c r="B142" t="s">
        <v>92</v>
      </c>
      <c r="C142" s="51">
        <v>100</v>
      </c>
      <c r="H142" s="30">
        <v>80</v>
      </c>
    </row>
    <row r="143" spans="1:15" x14ac:dyDescent="0.25">
      <c r="B143" t="s">
        <v>93</v>
      </c>
      <c r="C143" s="50">
        <v>2500</v>
      </c>
      <c r="H143" s="50">
        <v>2500</v>
      </c>
    </row>
    <row r="144" spans="1:15" x14ac:dyDescent="0.25">
      <c r="B144" t="s">
        <v>94</v>
      </c>
      <c r="C144" s="24">
        <f>+C143*C142</f>
        <v>250000</v>
      </c>
      <c r="H144" s="24">
        <f>+H143*H142</f>
        <v>200000</v>
      </c>
    </row>
    <row r="145" spans="2:11" x14ac:dyDescent="0.25">
      <c r="B145" t="s">
        <v>95</v>
      </c>
      <c r="C145" s="50">
        <v>300000</v>
      </c>
      <c r="H145" s="50">
        <v>300000</v>
      </c>
    </row>
    <row r="146" spans="2:11" x14ac:dyDescent="0.25">
      <c r="B146" t="s">
        <v>96</v>
      </c>
      <c r="C146" s="50">
        <v>30000</v>
      </c>
      <c r="H146" s="50">
        <v>30000</v>
      </c>
    </row>
    <row r="148" spans="2:11" x14ac:dyDescent="0.25">
      <c r="B148" t="s">
        <v>56</v>
      </c>
      <c r="C148" s="24">
        <f>SUM(C144:C146)</f>
        <v>580000</v>
      </c>
      <c r="H148" s="24">
        <f>SUM(H144:H146)</f>
        <v>530000</v>
      </c>
    </row>
    <row r="149" spans="2:11" x14ac:dyDescent="0.25">
      <c r="C149" s="24"/>
      <c r="H149" s="24"/>
    </row>
    <row r="150" spans="2:11" x14ac:dyDescent="0.25">
      <c r="C150" s="24"/>
      <c r="H150" s="24"/>
    </row>
    <row r="151" spans="2:11" x14ac:dyDescent="0.25">
      <c r="B151" t="s">
        <v>97</v>
      </c>
      <c r="C151" s="14">
        <f>+D151*52</f>
        <v>26000</v>
      </c>
      <c r="D151">
        <f>+'[1]Big Assumptions'!B71</f>
        <v>500</v>
      </c>
      <c r="E151" t="s">
        <v>24</v>
      </c>
      <c r="H151" s="14">
        <f>+I151*52</f>
        <v>20800</v>
      </c>
      <c r="I151">
        <f>+'[1]Big Assumptions'!F71</f>
        <v>400</v>
      </c>
      <c r="J151" t="s">
        <v>24</v>
      </c>
    </row>
    <row r="152" spans="2:11" x14ac:dyDescent="0.25">
      <c r="B152" t="s">
        <v>58</v>
      </c>
      <c r="C152" s="24"/>
      <c r="H152" s="24"/>
    </row>
    <row r="153" spans="2:11" x14ac:dyDescent="0.25">
      <c r="B153" t="s">
        <v>59</v>
      </c>
      <c r="C153" s="24">
        <f>+PMT(D153,E153,C148,0,0)</f>
        <v>-59134.490623357742</v>
      </c>
      <c r="D153" s="33">
        <f>+'[1]Big Assumptions'!B70</f>
        <v>5.8500000000000003E-2</v>
      </c>
      <c r="E153">
        <v>15</v>
      </c>
      <c r="F153" t="s">
        <v>60</v>
      </c>
      <c r="H153" s="24">
        <f>+PMT(I153,J153,H148,0,0)</f>
        <v>-54036.689707551042</v>
      </c>
      <c r="I153" s="12">
        <f>+'[1]Big Assumptions'!F70</f>
        <v>5.8500000000000003E-2</v>
      </c>
      <c r="J153">
        <v>15</v>
      </c>
      <c r="K153" t="s">
        <v>60</v>
      </c>
    </row>
    <row r="154" spans="2:11" x14ac:dyDescent="0.25">
      <c r="B154" t="s">
        <v>61</v>
      </c>
      <c r="C154" s="52">
        <v>-2500</v>
      </c>
      <c r="H154" s="52">
        <v>-2000</v>
      </c>
    </row>
    <row r="155" spans="2:11" x14ac:dyDescent="0.25">
      <c r="B155" t="s">
        <v>62</v>
      </c>
      <c r="C155" s="52">
        <v>-2500</v>
      </c>
      <c r="H155" s="52">
        <v>-2000</v>
      </c>
    </row>
    <row r="156" spans="2:11" x14ac:dyDescent="0.25">
      <c r="B156" t="s">
        <v>98</v>
      </c>
      <c r="C156" s="52">
        <v>-500</v>
      </c>
      <c r="H156" s="52">
        <v>-500</v>
      </c>
    </row>
    <row r="158" spans="2:11" x14ac:dyDescent="0.25">
      <c r="B158" t="s">
        <v>64</v>
      </c>
      <c r="C158" s="29">
        <f>SUM(C151:C157)</f>
        <v>-38634.490623357742</v>
      </c>
      <c r="D158" t="s">
        <v>99</v>
      </c>
      <c r="H158" s="29">
        <f>SUM(H151:H157)</f>
        <v>-37736.689707551042</v>
      </c>
      <c r="I158" t="s">
        <v>99</v>
      </c>
    </row>
    <row r="165" spans="1:11" x14ac:dyDescent="0.25">
      <c r="A165" t="s">
        <v>100</v>
      </c>
      <c r="B165" t="s">
        <v>101</v>
      </c>
    </row>
    <row r="167" spans="1:11" x14ac:dyDescent="0.25">
      <c r="B167" t="s">
        <v>102</v>
      </c>
    </row>
    <row r="168" spans="1:11" x14ac:dyDescent="0.25">
      <c r="B168" t="s">
        <v>103</v>
      </c>
      <c r="C168" s="38">
        <v>1000000</v>
      </c>
    </row>
    <row r="169" spans="1:11" x14ac:dyDescent="0.25">
      <c r="B169" t="s">
        <v>104</v>
      </c>
      <c r="C169" s="39">
        <v>2.5000000000000001E-2</v>
      </c>
    </row>
    <row r="170" spans="1:11" x14ac:dyDescent="0.25">
      <c r="B170" t="s">
        <v>105</v>
      </c>
      <c r="C170" s="39">
        <v>3.5000000000000003E-2</v>
      </c>
    </row>
    <row r="171" spans="1:11" x14ac:dyDescent="0.25">
      <c r="B171" t="s">
        <v>106</v>
      </c>
      <c r="C171" s="39">
        <v>1.4999999999999999E-2</v>
      </c>
    </row>
    <row r="172" spans="1:11" x14ac:dyDescent="0.25">
      <c r="B172" t="s">
        <v>107</v>
      </c>
      <c r="C172" s="39">
        <v>2.3E-3</v>
      </c>
      <c r="D172" t="s">
        <v>108</v>
      </c>
    </row>
    <row r="173" spans="1:11" x14ac:dyDescent="0.25">
      <c r="D173" s="30" t="s">
        <v>109</v>
      </c>
      <c r="E173" s="30"/>
      <c r="F173" s="30" t="s">
        <v>110</v>
      </c>
      <c r="G173" s="30" t="s">
        <v>111</v>
      </c>
      <c r="H173" s="30"/>
      <c r="I173" s="30" t="s">
        <v>112</v>
      </c>
      <c r="J173" s="30"/>
      <c r="K173" s="30" t="s">
        <v>110</v>
      </c>
    </row>
    <row r="174" spans="1:11" x14ac:dyDescent="0.25">
      <c r="C174" t="s">
        <v>113</v>
      </c>
      <c r="D174" s="30" t="s">
        <v>114</v>
      </c>
      <c r="E174" s="30" t="s">
        <v>115</v>
      </c>
      <c r="F174" s="30" t="s">
        <v>116</v>
      </c>
      <c r="G174" s="30" t="s">
        <v>117</v>
      </c>
      <c r="H174" s="30" t="s">
        <v>114</v>
      </c>
      <c r="I174" s="30" t="s">
        <v>117</v>
      </c>
      <c r="J174" s="30" t="s">
        <v>114</v>
      </c>
      <c r="K174" s="30" t="s">
        <v>118</v>
      </c>
    </row>
    <row r="175" spans="1:11" x14ac:dyDescent="0.25">
      <c r="C175">
        <v>0</v>
      </c>
      <c r="E175" s="30"/>
      <c r="F175" s="30"/>
      <c r="G175" s="30"/>
      <c r="H175" s="30"/>
      <c r="I175" s="30"/>
      <c r="J175" s="30"/>
    </row>
    <row r="176" spans="1:11" x14ac:dyDescent="0.25">
      <c r="C176">
        <v>1</v>
      </c>
      <c r="D176">
        <f>+C168</f>
        <v>1000000</v>
      </c>
      <c r="E176" s="30">
        <v>70</v>
      </c>
      <c r="F176" s="30">
        <f>+(D176*C169)-K176</f>
        <v>22700</v>
      </c>
      <c r="G176" s="40">
        <f>+$C$170*C176</f>
        <v>3.5000000000000003E-2</v>
      </c>
      <c r="H176" s="41">
        <f>+G176*D176</f>
        <v>35000</v>
      </c>
      <c r="I176" s="42">
        <f t="shared" ref="I176:I188" si="1">1-G176</f>
        <v>0.96499999999999997</v>
      </c>
      <c r="J176" s="43">
        <f>+I176*D176</f>
        <v>965000</v>
      </c>
      <c r="K176">
        <f>+C168*C172</f>
        <v>2300</v>
      </c>
    </row>
    <row r="177" spans="3:12" x14ac:dyDescent="0.25">
      <c r="C177">
        <v>2</v>
      </c>
      <c r="D177">
        <f>+D176*(1+$C$171)</f>
        <v>1014999.9999999999</v>
      </c>
      <c r="E177" s="30">
        <f>+E176+1</f>
        <v>71</v>
      </c>
      <c r="F177" s="30">
        <f>+F176</f>
        <v>22700</v>
      </c>
      <c r="G177" s="40">
        <f t="shared" ref="G177:G185" si="2">+$C$170*C177</f>
        <v>7.0000000000000007E-2</v>
      </c>
      <c r="H177" s="41">
        <f t="shared" ref="H177:H188" si="3">+G177*D177</f>
        <v>71050</v>
      </c>
      <c r="I177" s="42">
        <f t="shared" si="1"/>
        <v>0.92999999999999994</v>
      </c>
      <c r="J177" s="43">
        <f t="shared" ref="J177:J188" si="4">+I177*D177</f>
        <v>943949.99999999988</v>
      </c>
      <c r="K177">
        <f>+K176</f>
        <v>2300</v>
      </c>
    </row>
    <row r="178" spans="3:12" x14ac:dyDescent="0.25">
      <c r="C178">
        <v>3</v>
      </c>
      <c r="D178">
        <f t="shared" ref="D178:D188" si="5">+D177*(1+$C$171)</f>
        <v>1030224.9999999998</v>
      </c>
      <c r="E178" s="30">
        <f t="shared" ref="E178:E188" si="6">+E177+1</f>
        <v>72</v>
      </c>
      <c r="F178" s="30">
        <f t="shared" ref="F178:F188" si="7">+F177</f>
        <v>22700</v>
      </c>
      <c r="G178" s="40">
        <f t="shared" si="2"/>
        <v>0.10500000000000001</v>
      </c>
      <c r="H178" s="41">
        <f t="shared" si="3"/>
        <v>108173.62499999999</v>
      </c>
      <c r="I178" s="42">
        <f t="shared" si="1"/>
        <v>0.89500000000000002</v>
      </c>
      <c r="J178" s="43">
        <f t="shared" si="4"/>
        <v>922051.37499999977</v>
      </c>
      <c r="K178">
        <f t="shared" ref="K178:K185" si="8">+K177</f>
        <v>2300</v>
      </c>
    </row>
    <row r="179" spans="3:12" x14ac:dyDescent="0.25">
      <c r="C179">
        <v>4</v>
      </c>
      <c r="D179" s="41">
        <f t="shared" si="5"/>
        <v>1045678.3749999997</v>
      </c>
      <c r="E179" s="30">
        <f t="shared" si="6"/>
        <v>73</v>
      </c>
      <c r="F179" s="30">
        <f t="shared" si="7"/>
        <v>22700</v>
      </c>
      <c r="G179" s="40">
        <f t="shared" si="2"/>
        <v>0.14000000000000001</v>
      </c>
      <c r="H179" s="41">
        <f t="shared" si="3"/>
        <v>146394.97249999997</v>
      </c>
      <c r="I179" s="42">
        <f t="shared" si="1"/>
        <v>0.86</v>
      </c>
      <c r="J179" s="43">
        <f t="shared" si="4"/>
        <v>899283.40249999973</v>
      </c>
      <c r="K179">
        <f t="shared" si="8"/>
        <v>2300</v>
      </c>
    </row>
    <row r="180" spans="3:12" x14ac:dyDescent="0.25">
      <c r="C180">
        <v>5</v>
      </c>
      <c r="D180" s="41">
        <f t="shared" si="5"/>
        <v>1061363.5506249995</v>
      </c>
      <c r="E180" s="30">
        <f t="shared" si="6"/>
        <v>74</v>
      </c>
      <c r="F180" s="30">
        <f t="shared" si="7"/>
        <v>22700</v>
      </c>
      <c r="G180" s="40">
        <f t="shared" si="2"/>
        <v>0.17500000000000002</v>
      </c>
      <c r="H180" s="41">
        <f t="shared" si="3"/>
        <v>185738.62135937493</v>
      </c>
      <c r="I180" s="42">
        <f t="shared" si="1"/>
        <v>0.82499999999999996</v>
      </c>
      <c r="J180" s="43">
        <f t="shared" si="4"/>
        <v>875624.92926562449</v>
      </c>
      <c r="K180">
        <f t="shared" si="8"/>
        <v>2300</v>
      </c>
    </row>
    <row r="181" spans="3:12" x14ac:dyDescent="0.25">
      <c r="C181">
        <v>6</v>
      </c>
      <c r="D181" s="41">
        <f t="shared" si="5"/>
        <v>1077284.0038843744</v>
      </c>
      <c r="E181" s="30">
        <f t="shared" si="6"/>
        <v>75</v>
      </c>
      <c r="F181" s="30">
        <f t="shared" si="7"/>
        <v>22700</v>
      </c>
      <c r="G181" s="40">
        <f t="shared" si="2"/>
        <v>0.21000000000000002</v>
      </c>
      <c r="H181" s="41">
        <f t="shared" si="3"/>
        <v>226229.64081571865</v>
      </c>
      <c r="I181" s="42">
        <f t="shared" si="1"/>
        <v>0.79</v>
      </c>
      <c r="J181" s="43">
        <f t="shared" si="4"/>
        <v>851054.36306865583</v>
      </c>
      <c r="K181">
        <f t="shared" si="8"/>
        <v>2300</v>
      </c>
    </row>
    <row r="182" spans="3:12" x14ac:dyDescent="0.25">
      <c r="C182">
        <v>7</v>
      </c>
      <c r="D182" s="41">
        <f t="shared" si="5"/>
        <v>1093443.2639426398</v>
      </c>
      <c r="E182" s="30">
        <f t="shared" si="6"/>
        <v>76</v>
      </c>
      <c r="F182" s="30">
        <f t="shared" si="7"/>
        <v>22700</v>
      </c>
      <c r="G182" s="40">
        <f t="shared" si="2"/>
        <v>0.24500000000000002</v>
      </c>
      <c r="H182" s="41">
        <f t="shared" si="3"/>
        <v>267893.59966594679</v>
      </c>
      <c r="I182" s="42">
        <f t="shared" si="1"/>
        <v>0.755</v>
      </c>
      <c r="J182" s="43">
        <f t="shared" si="4"/>
        <v>825549.66427669302</v>
      </c>
      <c r="K182">
        <f t="shared" si="8"/>
        <v>2300</v>
      </c>
    </row>
    <row r="183" spans="3:12" x14ac:dyDescent="0.25">
      <c r="C183">
        <v>8</v>
      </c>
      <c r="D183" s="41">
        <f t="shared" si="5"/>
        <v>1109844.9129017794</v>
      </c>
      <c r="E183" s="30">
        <f t="shared" si="6"/>
        <v>77</v>
      </c>
      <c r="F183" s="30">
        <f t="shared" si="7"/>
        <v>22700</v>
      </c>
      <c r="G183" s="40">
        <f t="shared" si="2"/>
        <v>0.28000000000000003</v>
      </c>
      <c r="H183" s="41">
        <f t="shared" si="3"/>
        <v>310756.57561249827</v>
      </c>
      <c r="I183" s="42">
        <f t="shared" si="1"/>
        <v>0.72</v>
      </c>
      <c r="J183" s="43">
        <f t="shared" si="4"/>
        <v>799088.33728928119</v>
      </c>
      <c r="K183">
        <f t="shared" si="8"/>
        <v>2300</v>
      </c>
    </row>
    <row r="184" spans="3:12" x14ac:dyDescent="0.25">
      <c r="C184">
        <v>9</v>
      </c>
      <c r="D184" s="41">
        <f t="shared" si="5"/>
        <v>1126492.5865953059</v>
      </c>
      <c r="E184" s="30">
        <f t="shared" si="6"/>
        <v>78</v>
      </c>
      <c r="F184" s="30">
        <f t="shared" si="7"/>
        <v>22700</v>
      </c>
      <c r="G184" s="40">
        <f t="shared" si="2"/>
        <v>0.31500000000000006</v>
      </c>
      <c r="H184" s="41">
        <f t="shared" si="3"/>
        <v>354845.16477752145</v>
      </c>
      <c r="I184" s="42">
        <f t="shared" si="1"/>
        <v>0.68499999999999994</v>
      </c>
      <c r="J184" s="43">
        <f t="shared" si="4"/>
        <v>771647.42181778455</v>
      </c>
      <c r="K184">
        <f t="shared" si="8"/>
        <v>2300</v>
      </c>
    </row>
    <row r="185" spans="3:12" x14ac:dyDescent="0.25">
      <c r="C185">
        <v>10</v>
      </c>
      <c r="D185" s="41">
        <f t="shared" si="5"/>
        <v>1143389.9753942355</v>
      </c>
      <c r="E185" s="30">
        <f t="shared" si="6"/>
        <v>79</v>
      </c>
      <c r="F185" s="30">
        <f t="shared" si="7"/>
        <v>22700</v>
      </c>
      <c r="G185" s="40">
        <f t="shared" si="2"/>
        <v>0.35000000000000003</v>
      </c>
      <c r="H185" s="41">
        <f t="shared" si="3"/>
        <v>400186.49138798245</v>
      </c>
      <c r="I185" s="42">
        <f t="shared" si="1"/>
        <v>0.64999999999999991</v>
      </c>
      <c r="J185" s="43">
        <f t="shared" si="4"/>
        <v>743203.48400625295</v>
      </c>
      <c r="K185">
        <f t="shared" si="8"/>
        <v>2300</v>
      </c>
    </row>
    <row r="186" spans="3:12" x14ac:dyDescent="0.25">
      <c r="C186">
        <v>11</v>
      </c>
      <c r="D186" s="41">
        <f t="shared" si="5"/>
        <v>1160540.8250251489</v>
      </c>
      <c r="E186" s="30">
        <f t="shared" si="6"/>
        <v>80</v>
      </c>
      <c r="F186" s="30">
        <v>0</v>
      </c>
      <c r="G186" s="42">
        <f>+G185</f>
        <v>0.35000000000000003</v>
      </c>
      <c r="H186" s="41">
        <f t="shared" si="3"/>
        <v>406189.28875880217</v>
      </c>
      <c r="I186" s="42">
        <f t="shared" si="1"/>
        <v>0.64999999999999991</v>
      </c>
      <c r="J186" s="43">
        <f t="shared" si="4"/>
        <v>754351.53626634669</v>
      </c>
      <c r="K186">
        <v>0</v>
      </c>
    </row>
    <row r="187" spans="3:12" x14ac:dyDescent="0.25">
      <c r="C187">
        <v>12</v>
      </c>
      <c r="D187" s="41">
        <f t="shared" si="5"/>
        <v>1177948.9374005261</v>
      </c>
      <c r="E187" s="30">
        <f t="shared" si="6"/>
        <v>81</v>
      </c>
      <c r="F187" s="30">
        <v>0</v>
      </c>
      <c r="G187" s="42">
        <f>+G186</f>
        <v>0.35000000000000003</v>
      </c>
      <c r="H187" s="41">
        <f t="shared" si="3"/>
        <v>412282.12809018418</v>
      </c>
      <c r="I187" s="42">
        <f t="shared" si="1"/>
        <v>0.64999999999999991</v>
      </c>
      <c r="J187" s="43">
        <f t="shared" si="4"/>
        <v>765666.80931034184</v>
      </c>
      <c r="K187">
        <v>0</v>
      </c>
    </row>
    <row r="188" spans="3:12" x14ac:dyDescent="0.25">
      <c r="C188">
        <v>13</v>
      </c>
      <c r="D188" s="41">
        <f t="shared" si="5"/>
        <v>1195618.171461534</v>
      </c>
      <c r="E188" s="30">
        <f t="shared" si="6"/>
        <v>82</v>
      </c>
      <c r="F188" s="30">
        <f t="shared" si="7"/>
        <v>0</v>
      </c>
      <c r="G188" s="42">
        <f>+G187</f>
        <v>0.35000000000000003</v>
      </c>
      <c r="H188" s="41">
        <f t="shared" si="3"/>
        <v>418466.36001153692</v>
      </c>
      <c r="I188" s="42">
        <f t="shared" si="1"/>
        <v>0.64999999999999991</v>
      </c>
      <c r="J188" s="43">
        <f t="shared" si="4"/>
        <v>777151.81144999701</v>
      </c>
      <c r="K188">
        <v>0</v>
      </c>
      <c r="L188" t="s">
        <v>119</v>
      </c>
    </row>
    <row r="190" spans="3:12" x14ac:dyDescent="0.25">
      <c r="F190" s="27">
        <f>SUM(F176:F189)</f>
        <v>227000</v>
      </c>
      <c r="H190" s="44">
        <f>+H188</f>
        <v>418466.36001153692</v>
      </c>
      <c r="J190" s="41">
        <f>+J188-D188</f>
        <v>-418466.36001153698</v>
      </c>
      <c r="K190" t="s">
        <v>120</v>
      </c>
    </row>
    <row r="191" spans="3:12" x14ac:dyDescent="0.25">
      <c r="H191">
        <f>SUM(K176:K188)</f>
        <v>23000</v>
      </c>
      <c r="J191" s="41">
        <f>+F190</f>
        <v>227000</v>
      </c>
      <c r="K191" t="s">
        <v>116</v>
      </c>
    </row>
    <row r="192" spans="3:12" ht="15.75" thickBot="1" x14ac:dyDescent="0.3">
      <c r="H192">
        <f>-F190</f>
        <v>-227000</v>
      </c>
      <c r="J192" s="45">
        <f>+J190+J191</f>
        <v>-191466.36001153698</v>
      </c>
    </row>
    <row r="193" spans="8:8" ht="15.75" thickBot="1" x14ac:dyDescent="0.3">
      <c r="H193" s="46">
        <f>SUM(H190:H192)</f>
        <v>214466.36001153692</v>
      </c>
    </row>
  </sheetData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Gadd</dc:creator>
  <cp:lastModifiedBy>Mary-Ellen Gadd</cp:lastModifiedBy>
  <dcterms:created xsi:type="dcterms:W3CDTF">2015-06-05T18:17:20Z</dcterms:created>
  <dcterms:modified xsi:type="dcterms:W3CDTF">2025-07-31T00:48:02Z</dcterms:modified>
</cp:coreProperties>
</file>